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Форма ввода" sheetId="1" r:id="rId1"/>
    <sheet name="Подбор прибора" sheetId="2" r:id="rId2"/>
    <sheet name="Лист1" sheetId="3" r:id="rId3"/>
    <sheet name="Лист2" sheetId="4" r:id="rId4"/>
    <sheet name="Лист3" sheetId="5" r:id="rId5"/>
  </sheets>
  <definedNames>
    <definedName name="_xlnm.Print_Area" localSheetId="1">'Подбор прибора'!$A:$E</definedName>
  </definedNames>
  <calcPr fullCalcOnLoad="1"/>
</workbook>
</file>

<file path=xl/sharedStrings.xml><?xml version="1.0" encoding="utf-8"?>
<sst xmlns="http://schemas.openxmlformats.org/spreadsheetml/2006/main" count="123" uniqueCount="95">
  <si>
    <t>Давление (избыточное) Мпа</t>
  </si>
  <si>
    <t>Диаметр трубопровода</t>
  </si>
  <si>
    <t>Давление (абсолютное )</t>
  </si>
  <si>
    <t>Минимальный расход газа (норм куб.)</t>
  </si>
  <si>
    <t>Максимальный расход газа  (норм куб.)</t>
  </si>
  <si>
    <t>Максимальный расход газа  (раб куб.)</t>
  </si>
  <si>
    <t>Минимальный расход газа (раб куб.)</t>
  </si>
  <si>
    <t>Длинна прямого участка до счетчика, м</t>
  </si>
  <si>
    <t>Длинна прямого участка после счетчика, м</t>
  </si>
  <si>
    <t xml:space="preserve"> Длинна прямого участка в Ду</t>
  </si>
  <si>
    <t>GFG</t>
  </si>
  <si>
    <t>Qmin</t>
  </si>
  <si>
    <t>Qmax</t>
  </si>
  <si>
    <t>Доступный диапазон измерений</t>
  </si>
  <si>
    <t>Диаметр, мм.</t>
  </si>
  <si>
    <t>Требуемы прямые участки</t>
  </si>
  <si>
    <t>L до счетчика (Dy)</t>
  </si>
  <si>
    <t>L после счетчика (Dy)</t>
  </si>
  <si>
    <t xml:space="preserve">Код ответа </t>
  </si>
  <si>
    <t>Содержание ответа</t>
  </si>
  <si>
    <t>Требуется диапазон измерений</t>
  </si>
  <si>
    <t>Длинна прямых участков достаточна.</t>
  </si>
  <si>
    <t>Вывод:</t>
  </si>
  <si>
    <t xml:space="preserve">расход </t>
  </si>
  <si>
    <t>прямой участок</t>
  </si>
  <si>
    <t>Длинна прямого участка не достаточна для установки GFG F.</t>
  </si>
  <si>
    <t>Длинна прямого участка достаточна для установки GFG F.</t>
  </si>
  <si>
    <t>Газ с таким расходом по трубе данного диаметра не может быть поставлен. Рекомендуем увеличить диаметр трубопровода.</t>
  </si>
  <si>
    <t>Длинна прямых участков НЕ достаточна. Рекомендуем изыскать любой прямой участок на расстоянии 300 метров. Или применить GFG F.</t>
  </si>
  <si>
    <t>Диапазон измерения превышает возможности расходомера , без смены диафрагмы. Рекомендуем рассмотреть расходомер TFG  или возможность введения режимов расхода газа  "Зимний" и "Летний" с суммарным диапазоном расходов 1:750</t>
  </si>
  <si>
    <t>Ду, мм</t>
  </si>
  <si>
    <r>
      <t>Q</t>
    </r>
    <r>
      <rPr>
        <sz val="10"/>
        <rFont val="Arial"/>
        <family val="2"/>
      </rPr>
      <t>min1</t>
    </r>
  </si>
  <si>
    <r>
      <t>Q</t>
    </r>
    <r>
      <rPr>
        <sz val="10"/>
        <rFont val="Arial"/>
        <family val="2"/>
      </rPr>
      <t>min2</t>
    </r>
  </si>
  <si>
    <r>
      <t>Q</t>
    </r>
    <r>
      <rPr>
        <sz val="10"/>
        <rFont val="Arial"/>
        <family val="2"/>
      </rPr>
      <t>max1</t>
    </r>
  </si>
  <si>
    <r>
      <t>Q</t>
    </r>
    <r>
      <rPr>
        <sz val="10"/>
        <rFont val="Arial"/>
        <family val="2"/>
      </rPr>
      <t>max2</t>
    </r>
  </si>
  <si>
    <r>
      <t>Q</t>
    </r>
    <r>
      <rPr>
        <sz val="10"/>
        <rFont val="Arial"/>
        <family val="2"/>
      </rPr>
      <t>min3</t>
    </r>
  </si>
  <si>
    <r>
      <t>Q</t>
    </r>
    <r>
      <rPr>
        <sz val="10"/>
        <rFont val="Arial"/>
        <family val="2"/>
      </rPr>
      <t>max3</t>
    </r>
  </si>
  <si>
    <t>Диапазон измерений соотвествует возможностям расходомера GFG, без смены диафрагм.</t>
  </si>
  <si>
    <t>GFG  имеет возможность вести учет в данных диапазонах, приданном диаметре, норм куб газа в час.</t>
  </si>
  <si>
    <t>TFG  имеет возможность вести учет в данном диапазоне, приданном диаметре, норм куб газа в час.</t>
  </si>
  <si>
    <t>Газ с таким расходом по трубе данного диаметра не может учтен прибором GFG. Рекомендуем увеличить диаметр трубопровода перед расходомером..</t>
  </si>
  <si>
    <t>Для данного расходомера рекомендуем GFG F с расширенным до 1:180 диапазоном измерения, без смены диафрагм.</t>
  </si>
  <si>
    <t>Проверка на диапазон дл ядиаметра</t>
  </si>
  <si>
    <t>Проверка на попадание диапазона в 180</t>
  </si>
  <si>
    <t>Форма ввода</t>
  </si>
  <si>
    <t>Исходные данные</t>
  </si>
  <si>
    <t>Расчетные данные</t>
  </si>
  <si>
    <t>Расчитать</t>
  </si>
  <si>
    <t>Минимальный расход газа,   (раб. куб.)</t>
  </si>
  <si>
    <t>Максимальный расход газа,  (раб. куб.)</t>
  </si>
  <si>
    <t>Давление газа абсолютное, Мпа</t>
  </si>
  <si>
    <t>Давление (избыточное), номинальное, кг/см*</t>
  </si>
  <si>
    <t>Максимальный расход газа, (норм куб.)</t>
  </si>
  <si>
    <t>Минимальный расход газа, (норм куб.)</t>
  </si>
  <si>
    <t>Измерительный комплекс TFG для заданного диаметра и давления имеет возможность учитывать газ в следующем диапазоне:</t>
  </si>
  <si>
    <t>F</t>
  </si>
  <si>
    <t>A</t>
  </si>
  <si>
    <t>B</t>
  </si>
  <si>
    <t>C</t>
  </si>
  <si>
    <t>D</t>
  </si>
  <si>
    <t>E</t>
  </si>
  <si>
    <t>G</t>
  </si>
  <si>
    <t>H</t>
  </si>
  <si>
    <t>Имеются следующие прямые участки до счетчика, Ду</t>
  </si>
  <si>
    <t>Имеются следующие прямые участки после счетчика, Ду</t>
  </si>
  <si>
    <t>Данный минимальный расход нашим прибором TFG не может быть учтен, рекомендуем уменьшить диаметр трубопровода. Интересно, а чем еще вы сможете поймать такой же диапазон измерений?</t>
  </si>
  <si>
    <t>Требуемый диапазон не  может юыть достигнут на приборе GFG F , без установки сменных диафрагм.</t>
  </si>
  <si>
    <t>Измерительный комплекс GFG F, для заданного диаметра и давления имеет возможность учитывать газ в следующем диапазоне:</t>
  </si>
  <si>
    <t>Требуемый Вам диапазон измерений не может быть достигнут на GFG F без сменных диафрагм.</t>
  </si>
  <si>
    <t>Требуемый Вам диапазон измерений обеспечивается GFG F.</t>
  </si>
  <si>
    <t xml:space="preserve">Заданый максимальный расход газа не может быть учтен расходомерным комплексом GFG F, при данном давлении и для данного диаметра трубопровода. </t>
  </si>
  <si>
    <t xml:space="preserve">Заданый минимальный расход газа не может быть учтен расходомерным комплексом GFG F, при данном давлении и для данного диаметра трубопровода. </t>
  </si>
  <si>
    <t>Заданый  максимальный расход газа попадает в допустимый расходомером GFG F диапазон.</t>
  </si>
  <si>
    <t>Заданый минимальный расход газа попадает в допустимый расходомером GFG F диапазон.</t>
  </si>
  <si>
    <t>Требуемый Вам диапазон измерений обеспечивается TFG</t>
  </si>
  <si>
    <t>Заданый  максимальный расход газа попадает в допустимый расходомером TFG диапазон.</t>
  </si>
  <si>
    <t>Заданый минимальный расход газа не может быть учтен расходомерным комплексом TFG, при данном давлении и для данного диаметра трубопровода.</t>
  </si>
  <si>
    <t>Заданый минимальный расход газа попадает в допустимый расходомером TFG диапазон.</t>
  </si>
  <si>
    <t>Заданый диапазон измерений не может быть обеспечен TFG.</t>
  </si>
  <si>
    <t>Давление (избыточное) кг/см2, номинальное</t>
  </si>
  <si>
    <t>GFG F  имеет возможность измерять расход газа в доступном динамическом диапазоне 1:100 (по заявке, до 1:180)/</t>
  </si>
  <si>
    <t>TFG имеет возможность измерять расход газа в доступном динамическом диапазоне 1:380.</t>
  </si>
  <si>
    <t>Длинны прямого участка достаточно для установки расходомера.</t>
  </si>
  <si>
    <t>Длинны прямого участка НЕ достаточно для установки расходомера.</t>
  </si>
  <si>
    <t>Требуемый диапазон измерений, согласно технического задания</t>
  </si>
  <si>
    <t>Согласно технического задания, необходимо обеспечить учет следующих расходов газа:</t>
  </si>
  <si>
    <t>Заказчик</t>
  </si>
  <si>
    <t>Контактное лицо:</t>
  </si>
  <si>
    <t>Заказчик:</t>
  </si>
  <si>
    <t>Телефон:</t>
  </si>
  <si>
    <t>E-mail:</t>
  </si>
  <si>
    <t>ООО Югмонтаж</t>
  </si>
  <si>
    <t>Перт</t>
  </si>
  <si>
    <t>861 254-89-77</t>
  </si>
  <si>
    <t>ttt@mail.ru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</si>
</sst>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00"/>
  </numFmts>
  <fonts count="33">
    <font>
      <sz val="10"/>
      <name val="Arial Cyr"/>
      <family val="0"/>
    </font>
    <font>
      <sz val="10"/>
      <color indexed="9"/>
      <name val="Arial Cyr"/>
      <family val="0"/>
    </font>
    <font>
      <b/>
      <sz val="10"/>
      <color indexed="18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0"/>
      <color indexed="60"/>
      <name val="Arial Cyr"/>
      <family val="0"/>
    </font>
    <font>
      <sz val="10"/>
      <color indexed="60"/>
      <name val="Arial Cyr"/>
      <family val="0"/>
    </font>
    <font>
      <b/>
      <sz val="12"/>
      <color indexed="60"/>
      <name val="Arial Cyr"/>
      <family val="0"/>
    </font>
    <font>
      <sz val="12"/>
      <color indexed="60"/>
      <name val="Arial Cyr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color indexed="10"/>
      <name val="Arial Cyr"/>
      <family val="0"/>
    </font>
    <font>
      <b/>
      <sz val="10"/>
      <name val="Arial Cyr"/>
      <family val="0"/>
    </font>
    <font>
      <b/>
      <sz val="14"/>
      <color indexed="10"/>
      <name val="Arial Cyr"/>
      <family val="0"/>
    </font>
    <font>
      <b/>
      <sz val="10"/>
      <color indexed="12"/>
      <name val="Arial Cyr"/>
      <family val="0"/>
    </font>
    <font>
      <b/>
      <sz val="14"/>
      <color indexed="12"/>
      <name val="Arial Cyr"/>
      <family val="0"/>
    </font>
    <font>
      <sz val="10"/>
      <color indexed="16"/>
      <name val="Arial Cyr"/>
      <family val="0"/>
    </font>
    <font>
      <b/>
      <sz val="10"/>
      <color indexed="16"/>
      <name val="Arial Cyr"/>
      <family val="0"/>
    </font>
    <font>
      <b/>
      <sz val="12"/>
      <color indexed="12"/>
      <name val="Arial Cyr"/>
      <family val="0"/>
    </font>
    <font>
      <b/>
      <sz val="10"/>
      <color indexed="58"/>
      <name val="Arial Cyr"/>
      <family val="0"/>
    </font>
    <font>
      <sz val="10"/>
      <color indexed="58"/>
      <name val="Arial Cyr"/>
      <family val="0"/>
    </font>
    <font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1"/>
      <color indexed="16"/>
      <name val="Arial Cyr"/>
      <family val="0"/>
    </font>
    <font>
      <sz val="11"/>
      <name val="Arial Cyr"/>
      <family val="0"/>
    </font>
    <font>
      <b/>
      <u val="single"/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b/>
      <sz val="12"/>
      <color indexed="18"/>
      <name val="Arial Cyr"/>
      <family val="0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/>
    </xf>
    <xf numFmtId="0" fontId="2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" xfId="0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Border="1" applyAlignment="1">
      <alignment horizontal="justify"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center" wrapText="1"/>
    </xf>
    <xf numFmtId="2" fontId="11" fillId="0" borderId="0" xfId="0" applyNumberFormat="1" applyFont="1" applyFill="1" applyBorder="1" applyAlignment="1">
      <alignment/>
    </xf>
    <xf numFmtId="2" fontId="1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2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left" wrapText="1"/>
    </xf>
    <xf numFmtId="0" fontId="5" fillId="4" borderId="6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5" fillId="0" borderId="7" xfId="0" applyFont="1" applyBorder="1" applyAlignment="1">
      <alignment/>
    </xf>
    <xf numFmtId="0" fontId="15" fillId="0" borderId="7" xfId="0" applyFont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20" fillId="0" borderId="7" xfId="0" applyFont="1" applyBorder="1" applyAlignment="1">
      <alignment wrapText="1"/>
    </xf>
    <xf numFmtId="0" fontId="22" fillId="3" borderId="10" xfId="0" applyFont="1" applyFill="1" applyBorder="1" applyAlignment="1">
      <alignment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8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18" xfId="0" applyFill="1" applyBorder="1" applyAlignment="1">
      <alignment wrapText="1"/>
    </xf>
    <xf numFmtId="2" fontId="15" fillId="3" borderId="19" xfId="0" applyNumberFormat="1" applyFont="1" applyFill="1" applyBorder="1" applyAlignment="1">
      <alignment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wrapText="1"/>
    </xf>
    <xf numFmtId="0" fontId="22" fillId="3" borderId="18" xfId="0" applyFont="1" applyFill="1" applyBorder="1" applyAlignment="1">
      <alignment wrapText="1"/>
    </xf>
    <xf numFmtId="0" fontId="23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23" fillId="3" borderId="0" xfId="0" applyFont="1" applyFill="1" applyBorder="1" applyAlignment="1">
      <alignment/>
    </xf>
    <xf numFmtId="0" fontId="24" fillId="3" borderId="9" xfId="0" applyFont="1" applyFill="1" applyBorder="1" applyAlignment="1">
      <alignment horizontal="right" wrapText="1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22" fillId="3" borderId="9" xfId="0" applyFont="1" applyFill="1" applyBorder="1" applyAlignment="1">
      <alignment wrapText="1"/>
    </xf>
    <xf numFmtId="0" fontId="24" fillId="3" borderId="10" xfId="0" applyFont="1" applyFill="1" applyBorder="1" applyAlignment="1">
      <alignment horizontal="right" wrapText="1"/>
    </xf>
    <xf numFmtId="0" fontId="24" fillId="3" borderId="0" xfId="0" applyFont="1" applyFill="1" applyAlignment="1">
      <alignment/>
    </xf>
    <xf numFmtId="0" fontId="24" fillId="3" borderId="0" xfId="0" applyFont="1" applyFill="1" applyAlignment="1">
      <alignment/>
    </xf>
    <xf numFmtId="0" fontId="24" fillId="3" borderId="0" xfId="0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20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/>
    </xf>
    <xf numFmtId="2" fontId="15" fillId="3" borderId="1" xfId="0" applyNumberFormat="1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5" fillId="3" borderId="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top" wrapText="1"/>
    </xf>
    <xf numFmtId="0" fontId="24" fillId="3" borderId="0" xfId="0" applyFont="1" applyFill="1" applyBorder="1" applyAlignment="1">
      <alignment horizontal="right" wrapText="1"/>
    </xf>
    <xf numFmtId="0" fontId="0" fillId="3" borderId="0" xfId="0" applyFill="1" applyBorder="1" applyAlignment="1">
      <alignment vertical="top"/>
    </xf>
    <xf numFmtId="166" fontId="15" fillId="3" borderId="19" xfId="0" applyNumberFormat="1" applyFont="1" applyFill="1" applyBorder="1" applyAlignment="1">
      <alignment/>
    </xf>
    <xf numFmtId="3" fontId="15" fillId="3" borderId="14" xfId="0" applyNumberFormat="1" applyFont="1" applyFill="1" applyBorder="1" applyAlignment="1">
      <alignment wrapText="1"/>
    </xf>
    <xf numFmtId="1" fontId="0" fillId="3" borderId="0" xfId="0" applyNumberFormat="1" applyFill="1" applyAlignment="1">
      <alignment/>
    </xf>
    <xf numFmtId="1" fontId="22" fillId="3" borderId="19" xfId="0" applyNumberFormat="1" applyFont="1" applyFill="1" applyBorder="1" applyAlignment="1">
      <alignment/>
    </xf>
    <xf numFmtId="1" fontId="2" fillId="3" borderId="11" xfId="0" applyNumberFormat="1" applyFont="1" applyFill="1" applyBorder="1" applyAlignment="1">
      <alignment/>
    </xf>
    <xf numFmtId="1" fontId="22" fillId="3" borderId="11" xfId="0" applyNumberFormat="1" applyFont="1" applyFill="1" applyBorder="1" applyAlignment="1">
      <alignment/>
    </xf>
    <xf numFmtId="1" fontId="2" fillId="3" borderId="14" xfId="0" applyNumberFormat="1" applyFont="1" applyFill="1" applyBorder="1" applyAlignment="1">
      <alignment/>
    </xf>
    <xf numFmtId="1" fontId="2" fillId="3" borderId="0" xfId="0" applyNumberFormat="1" applyFont="1" applyFill="1" applyBorder="1" applyAlignment="1">
      <alignment/>
    </xf>
    <xf numFmtId="1" fontId="15" fillId="3" borderId="20" xfId="0" applyNumberFormat="1" applyFont="1" applyFill="1" applyBorder="1" applyAlignment="1">
      <alignment wrapText="1"/>
    </xf>
    <xf numFmtId="1" fontId="15" fillId="3" borderId="21" xfId="0" applyNumberFormat="1" applyFont="1" applyFill="1" applyBorder="1" applyAlignment="1">
      <alignment wrapText="1"/>
    </xf>
    <xf numFmtId="1" fontId="15" fillId="3" borderId="0" xfId="0" applyNumberFormat="1" applyFont="1" applyFill="1" applyAlignment="1">
      <alignment wrapText="1"/>
    </xf>
    <xf numFmtId="1" fontId="15" fillId="3" borderId="19" xfId="0" applyNumberFormat="1" applyFont="1" applyFill="1" applyBorder="1" applyAlignment="1">
      <alignment wrapText="1"/>
    </xf>
    <xf numFmtId="1" fontId="15" fillId="3" borderId="14" xfId="0" applyNumberFormat="1" applyFont="1" applyFill="1" applyBorder="1" applyAlignment="1">
      <alignment wrapText="1"/>
    </xf>
    <xf numFmtId="1" fontId="3" fillId="3" borderId="0" xfId="0" applyNumberFormat="1" applyFont="1" applyFill="1" applyAlignment="1">
      <alignment horizontal="center" vertical="top" wrapText="1"/>
    </xf>
    <xf numFmtId="0" fontId="19" fillId="3" borderId="0" xfId="0" applyFont="1" applyFill="1" applyAlignment="1">
      <alignment horizontal="left"/>
    </xf>
    <xf numFmtId="0" fontId="28" fillId="3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5" fillId="2" borderId="7" xfId="0" applyFont="1" applyFill="1" applyBorder="1" applyAlignment="1">
      <alignment horizontal="center" wrapText="1"/>
    </xf>
    <xf numFmtId="0" fontId="30" fillId="0" borderId="0" xfId="15" applyFont="1" applyAlignment="1">
      <alignment horizontal="center"/>
    </xf>
    <xf numFmtId="2" fontId="15" fillId="4" borderId="1" xfId="0" applyNumberFormat="1" applyFont="1" applyFill="1" applyBorder="1" applyAlignment="1">
      <alignment horizontal="right" wrapText="1"/>
    </xf>
    <xf numFmtId="2" fontId="15" fillId="4" borderId="17" xfId="0" applyNumberFormat="1" applyFont="1" applyFill="1" applyBorder="1" applyAlignment="1">
      <alignment horizontal="right" wrapText="1"/>
    </xf>
    <xf numFmtId="2" fontId="15" fillId="4" borderId="11" xfId="0" applyNumberFormat="1" applyFont="1" applyFill="1" applyBorder="1" applyAlignment="1">
      <alignment horizontal="right" wrapText="1"/>
    </xf>
    <xf numFmtId="2" fontId="15" fillId="4" borderId="14" xfId="0" applyNumberFormat="1" applyFont="1" applyFill="1" applyBorder="1" applyAlignment="1">
      <alignment horizontal="right" wrapText="1"/>
    </xf>
    <xf numFmtId="2" fontId="15" fillId="3" borderId="11" xfId="0" applyNumberFormat="1" applyFont="1" applyFill="1" applyBorder="1" applyAlignment="1">
      <alignment horizontal="right" wrapText="1"/>
    </xf>
    <xf numFmtId="2" fontId="15" fillId="3" borderId="0" xfId="0" applyNumberFormat="1" applyFont="1" applyFill="1" applyBorder="1" applyAlignment="1">
      <alignment wrapText="1"/>
    </xf>
    <xf numFmtId="2" fontId="15" fillId="3" borderId="14" xfId="0" applyNumberFormat="1" applyFont="1" applyFill="1" applyBorder="1" applyAlignment="1">
      <alignment wrapText="1"/>
    </xf>
    <xf numFmtId="2" fontId="22" fillId="3" borderId="19" xfId="0" applyNumberFormat="1" applyFont="1" applyFill="1" applyBorder="1" applyAlignment="1">
      <alignment/>
    </xf>
    <xf numFmtId="2" fontId="2" fillId="3" borderId="11" xfId="0" applyNumberFormat="1" applyFont="1" applyFill="1" applyBorder="1" applyAlignment="1">
      <alignment/>
    </xf>
    <xf numFmtId="2" fontId="22" fillId="3" borderId="11" xfId="0" applyNumberFormat="1" applyFont="1" applyFill="1" applyBorder="1" applyAlignment="1">
      <alignment/>
    </xf>
    <xf numFmtId="2" fontId="2" fillId="3" borderId="14" xfId="0" applyNumberFormat="1" applyFont="1" applyFill="1" applyBorder="1" applyAlignment="1">
      <alignment/>
    </xf>
    <xf numFmtId="2" fontId="2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2" fillId="3" borderId="19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0" fontId="0" fillId="0" borderId="4" xfId="0" applyBorder="1" applyAlignment="1">
      <alignment/>
    </xf>
    <xf numFmtId="0" fontId="17" fillId="3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22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21" fillId="0" borderId="3" xfId="0" applyFont="1" applyFill="1" applyBorder="1" applyAlignment="1">
      <alignment horizontal="center" wrapText="1"/>
    </xf>
    <xf numFmtId="0" fontId="21" fillId="0" borderId="5" xfId="0" applyFont="1" applyBorder="1" applyAlignment="1">
      <alignment horizontal="center"/>
    </xf>
    <xf numFmtId="0" fontId="20" fillId="3" borderId="0" xfId="0" applyFont="1" applyFill="1" applyAlignment="1">
      <alignment vertical="top" wrapText="1"/>
    </xf>
    <xf numFmtId="0" fontId="3" fillId="3" borderId="0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20" fillId="3" borderId="5" xfId="0" applyFont="1" applyFill="1" applyBorder="1" applyAlignment="1">
      <alignment horizontal="left" vertical="top" wrapText="1"/>
    </xf>
    <xf numFmtId="2" fontId="20" fillId="3" borderId="3" xfId="0" applyNumberFormat="1" applyFont="1" applyFill="1" applyBorder="1" applyAlignment="1">
      <alignment vertical="top" wrapText="1"/>
    </xf>
    <xf numFmtId="0" fontId="19" fillId="0" borderId="5" xfId="0" applyFont="1" applyBorder="1" applyAlignment="1">
      <alignment/>
    </xf>
    <xf numFmtId="0" fontId="31" fillId="3" borderId="0" xfId="0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/>
    </xf>
    <xf numFmtId="0" fontId="1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0" fillId="3" borderId="0" xfId="0" applyFont="1" applyFill="1" applyBorder="1" applyAlignment="1">
      <alignment vertical="top" wrapText="1"/>
    </xf>
    <xf numFmtId="0" fontId="26" fillId="3" borderId="0" xfId="0" applyFont="1" applyFill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18" fillId="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7" fillId="3" borderId="23" xfId="0" applyFont="1" applyFill="1" applyBorder="1" applyAlignment="1">
      <alignment/>
    </xf>
    <xf numFmtId="0" fontId="0" fillId="0" borderId="23" xfId="0" applyBorder="1" applyAlignment="1">
      <alignment/>
    </xf>
    <xf numFmtId="0" fontId="17" fillId="3" borderId="4" xfId="0" applyFont="1" applyFill="1" applyBorder="1" applyAlignment="1">
      <alignment/>
    </xf>
    <xf numFmtId="0" fontId="5" fillId="0" borderId="2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2" fontId="10" fillId="0" borderId="0" xfId="0" applyNumberFormat="1" applyFont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tt@mail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A15" sqref="A15:B15"/>
    </sheetView>
  </sheetViews>
  <sheetFormatPr defaultColWidth="9.00390625" defaultRowHeight="12.75"/>
  <cols>
    <col min="1" max="1" width="40.875" style="0" customWidth="1"/>
    <col min="2" max="2" width="33.625" style="62" customWidth="1"/>
  </cols>
  <sheetData>
    <row r="2" spans="1:2" ht="18">
      <c r="A2" s="146" t="s">
        <v>44</v>
      </c>
      <c r="B2" s="146"/>
    </row>
    <row r="3" spans="1:3" ht="18">
      <c r="A3" t="s">
        <v>88</v>
      </c>
      <c r="B3" s="123" t="s">
        <v>91</v>
      </c>
      <c r="C3" s="63"/>
    </row>
    <row r="4" spans="1:3" ht="18">
      <c r="A4" t="s">
        <v>87</v>
      </c>
      <c r="B4" s="123" t="s">
        <v>92</v>
      </c>
      <c r="C4" s="63"/>
    </row>
    <row r="5" spans="1:3" ht="18">
      <c r="A5" t="s">
        <v>89</v>
      </c>
      <c r="B5" s="123" t="s">
        <v>93</v>
      </c>
      <c r="C5" s="63"/>
    </row>
    <row r="6" spans="1:3" ht="18">
      <c r="A6" t="s">
        <v>90</v>
      </c>
      <c r="B6" s="125" t="s">
        <v>94</v>
      </c>
      <c r="C6" s="63"/>
    </row>
    <row r="8" spans="1:2" ht="27.75" customHeight="1">
      <c r="A8" s="65" t="s">
        <v>51</v>
      </c>
      <c r="B8" s="124">
        <v>3</v>
      </c>
    </row>
    <row r="9" spans="1:2" ht="27.75" customHeight="1">
      <c r="A9" s="65" t="s">
        <v>1</v>
      </c>
      <c r="B9" s="124">
        <v>100</v>
      </c>
    </row>
    <row r="10" spans="1:2" ht="27.75" customHeight="1">
      <c r="A10" s="65" t="s">
        <v>4</v>
      </c>
      <c r="B10" s="124">
        <v>1000</v>
      </c>
    </row>
    <row r="11" spans="1:2" ht="27.75" customHeight="1">
      <c r="A11" s="65" t="s">
        <v>3</v>
      </c>
      <c r="B11" s="124">
        <f>'Подбор прибора'!B5</f>
        <v>4</v>
      </c>
    </row>
    <row r="12" spans="1:2" ht="27.75" customHeight="1">
      <c r="A12" s="65" t="s">
        <v>7</v>
      </c>
      <c r="B12" s="124">
        <v>0.5</v>
      </c>
    </row>
    <row r="13" spans="1:2" ht="27.75" customHeight="1">
      <c r="A13" s="65" t="s">
        <v>8</v>
      </c>
      <c r="B13" s="124">
        <v>0.2</v>
      </c>
    </row>
    <row r="14" ht="13.5" thickBot="1"/>
    <row r="15" spans="1:2" ht="30" customHeight="1" thickBot="1">
      <c r="A15" s="147" t="s">
        <v>47</v>
      </c>
      <c r="B15" s="148"/>
    </row>
  </sheetData>
  <mergeCells count="2">
    <mergeCell ref="A2:B2"/>
    <mergeCell ref="A15:B15"/>
  </mergeCells>
  <hyperlinks>
    <hyperlink ref="B6" r:id="rId1" display="ttt@mail.r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38.00390625" style="71" customWidth="1"/>
    <col min="2" max="2" width="11.375" style="140" customWidth="1"/>
    <col min="3" max="3" width="5.625" style="71" customWidth="1"/>
    <col min="4" max="4" width="37.75390625" style="71" customWidth="1"/>
    <col min="5" max="5" width="9.00390625" style="109" customWidth="1"/>
    <col min="6" max="6" width="9.125" style="71" customWidth="1"/>
    <col min="7" max="7" width="5.00390625" style="72" customWidth="1"/>
    <col min="8" max="8" width="4.125" style="73" customWidth="1"/>
    <col min="9" max="9" width="9.125" style="73" customWidth="1"/>
    <col min="10" max="16384" width="9.125" style="71" customWidth="1"/>
  </cols>
  <sheetData>
    <row r="1" spans="1:4" ht="18.75" thickBot="1">
      <c r="A1" s="159" t="s">
        <v>45</v>
      </c>
      <c r="B1" s="160"/>
      <c r="D1" s="122" t="s">
        <v>86</v>
      </c>
    </row>
    <row r="2" spans="1:5" ht="26.25" thickBot="1">
      <c r="A2" s="74" t="s">
        <v>79</v>
      </c>
      <c r="B2" s="126">
        <v>3</v>
      </c>
      <c r="C2" s="71">
        <f>B3*25*0.001</f>
        <v>7.5</v>
      </c>
      <c r="D2" s="166" t="str">
        <f>'Форма ввода'!A3&amp;"  "&amp;'Форма ввода'!B3</f>
        <v>Заказчик:  ООО Югмонтаж</v>
      </c>
      <c r="E2" s="167"/>
    </row>
    <row r="3" spans="1:5" ht="13.5" thickBot="1">
      <c r="A3" s="75" t="s">
        <v>1</v>
      </c>
      <c r="B3" s="127">
        <v>300</v>
      </c>
      <c r="D3" s="168" t="str">
        <f>'Форма ввода'!A4&amp;"  "&amp;'Форма ввода'!B4</f>
        <v>Контактное лицо:  Перт</v>
      </c>
      <c r="E3" s="141"/>
    </row>
    <row r="4" spans="1:5" ht="13.5" thickBot="1">
      <c r="A4" s="76" t="s">
        <v>52</v>
      </c>
      <c r="B4" s="128">
        <v>1600</v>
      </c>
      <c r="D4" s="168" t="str">
        <f>'Форма ввода'!A5&amp;"  "&amp;'Форма ввода'!B5</f>
        <v>Телефон:  861 254-89-77</v>
      </c>
      <c r="E4" s="141"/>
    </row>
    <row r="5" spans="1:5" ht="13.5" thickBot="1">
      <c r="A5" s="76" t="s">
        <v>53</v>
      </c>
      <c r="B5" s="128">
        <v>4</v>
      </c>
      <c r="D5" s="168" t="str">
        <f>'Форма ввода'!A6&amp;"  "&amp;'Форма ввода'!B6</f>
        <v>E-mail:  ttt@mail.ru</v>
      </c>
      <c r="E5" s="141"/>
    </row>
    <row r="6" spans="1:5" ht="12.75">
      <c r="A6" s="76" t="s">
        <v>7</v>
      </c>
      <c r="B6" s="128">
        <v>0</v>
      </c>
      <c r="D6" s="142"/>
      <c r="E6" s="143"/>
    </row>
    <row r="7" spans="1:7" ht="26.25" thickBot="1">
      <c r="A7" s="77" t="s">
        <v>8</v>
      </c>
      <c r="B7" s="129">
        <v>0</v>
      </c>
      <c r="D7" s="142"/>
      <c r="E7" s="143"/>
      <c r="G7" s="72">
        <v>2.13</v>
      </c>
    </row>
    <row r="8" spans="1:5" ht="15" customHeight="1">
      <c r="A8" s="164" t="s">
        <v>46</v>
      </c>
      <c r="B8" s="164"/>
      <c r="C8" s="165"/>
      <c r="D8" s="165"/>
      <c r="E8" s="165"/>
    </row>
    <row r="9" spans="1:5" ht="15" customHeight="1" thickBot="1">
      <c r="A9" s="162" t="s">
        <v>85</v>
      </c>
      <c r="B9" s="162"/>
      <c r="C9" s="163"/>
      <c r="D9" s="163"/>
      <c r="E9" s="163"/>
    </row>
    <row r="10" spans="1:6" ht="12.75">
      <c r="A10" s="76" t="s">
        <v>49</v>
      </c>
      <c r="B10" s="130">
        <f>B4/($E$10/0.101325)</f>
        <v>400</v>
      </c>
      <c r="D10" s="78" t="s">
        <v>50</v>
      </c>
      <c r="E10" s="107">
        <f>B2*0.101325+0.101325</f>
        <v>0.4053</v>
      </c>
      <c r="F10" s="71">
        <f>11500/24</f>
        <v>479.1666666666667</v>
      </c>
    </row>
    <row r="11" spans="1:5" ht="26.25" thickBot="1">
      <c r="A11" s="76" t="s">
        <v>48</v>
      </c>
      <c r="B11" s="130">
        <f>B5/($E$10/0.101325)</f>
        <v>1</v>
      </c>
      <c r="D11" s="77" t="s">
        <v>84</v>
      </c>
      <c r="E11" s="108">
        <f>B10/B11</f>
        <v>400</v>
      </c>
    </row>
    <row r="12" spans="1:2" ht="13.5" thickBot="1">
      <c r="A12" s="79"/>
      <c r="B12" s="131"/>
    </row>
    <row r="13" spans="1:2" ht="25.5">
      <c r="A13" s="80" t="s">
        <v>63</v>
      </c>
      <c r="B13" s="81">
        <f>B6/($B$3*0.001)</f>
        <v>0</v>
      </c>
    </row>
    <row r="14" spans="1:2" ht="26.25" thickBot="1">
      <c r="A14" s="77" t="s">
        <v>64</v>
      </c>
      <c r="B14" s="132">
        <f>B7/($B$3*0.001)</f>
        <v>0</v>
      </c>
    </row>
    <row r="15" spans="1:2" ht="12.75">
      <c r="A15" s="79"/>
      <c r="B15" s="131"/>
    </row>
    <row r="16" spans="1:9" s="83" customFormat="1" ht="42.75" customHeight="1" thickBot="1">
      <c r="A16" s="161" t="s">
        <v>54</v>
      </c>
      <c r="B16" s="161"/>
      <c r="C16" s="82"/>
      <c r="D16" s="149" t="s">
        <v>67</v>
      </c>
      <c r="E16" s="149"/>
      <c r="G16" s="72"/>
      <c r="H16" s="79"/>
      <c r="I16" s="79"/>
    </row>
    <row r="17" spans="1:9" s="85" customFormat="1" ht="24.75" customHeight="1">
      <c r="A17" s="84" t="s">
        <v>52</v>
      </c>
      <c r="B17" s="133">
        <f>0.1611637*(B3*B3)*($B$2+1)</f>
        <v>58018.932</v>
      </c>
      <c r="D17" s="84" t="s">
        <v>52</v>
      </c>
      <c r="E17" s="110">
        <f>E18*($B$2+1)</f>
        <v>54000</v>
      </c>
      <c r="G17" s="86"/>
      <c r="H17" s="87"/>
      <c r="I17" s="87"/>
    </row>
    <row r="18" spans="1:9" s="89" customFormat="1" ht="16.5" customHeight="1">
      <c r="A18" s="88" t="s">
        <v>49</v>
      </c>
      <c r="B18" s="134">
        <f>B17/($B$2+1)</f>
        <v>14504.733</v>
      </c>
      <c r="D18" s="88" t="s">
        <v>49</v>
      </c>
      <c r="E18" s="111">
        <f>VLOOKUP($B$3,Лист3!$A$5:$G$18,6,FALSE)</f>
        <v>13500</v>
      </c>
      <c r="G18" s="90"/>
      <c r="H18" s="91"/>
      <c r="I18" s="91"/>
    </row>
    <row r="19" spans="1:9" s="85" customFormat="1" ht="19.5" customHeight="1">
      <c r="A19" s="92" t="s">
        <v>53</v>
      </c>
      <c r="B19" s="135">
        <f>0.000424115*(B3*B3)*($B$2+1)</f>
        <v>152.6814</v>
      </c>
      <c r="D19" s="92" t="s">
        <v>53</v>
      </c>
      <c r="E19" s="112">
        <f>E20*($B$2+1)</f>
        <v>54</v>
      </c>
      <c r="G19" s="86"/>
      <c r="H19" s="87"/>
      <c r="I19" s="87"/>
    </row>
    <row r="20" spans="1:9" s="94" customFormat="1" ht="19.5" customHeight="1" thickBot="1">
      <c r="A20" s="93" t="s">
        <v>48</v>
      </c>
      <c r="B20" s="136">
        <f>B19/($B$2+1)</f>
        <v>38.17035</v>
      </c>
      <c r="D20" s="93" t="s">
        <v>48</v>
      </c>
      <c r="E20" s="113">
        <f>VLOOKUP($B$3,Лист3!$A$5:$G$18,2,FALSE)</f>
        <v>13.5</v>
      </c>
      <c r="G20" s="95"/>
      <c r="H20" s="96"/>
      <c r="I20" s="96"/>
    </row>
    <row r="21" spans="1:9" s="94" customFormat="1" ht="28.5" customHeight="1">
      <c r="A21" s="155" t="str">
        <f>D11&amp;"  1 : "&amp;E11</f>
        <v>Требуемый диапазон измерений, согласно технического задания  1 : 400</v>
      </c>
      <c r="B21" s="156"/>
      <c r="C21" s="156"/>
      <c r="D21" s="156"/>
      <c r="E21" s="156"/>
      <c r="G21" s="95"/>
      <c r="H21" s="96"/>
      <c r="I21" s="96"/>
    </row>
    <row r="22" spans="1:9" s="94" customFormat="1" ht="9" customHeight="1">
      <c r="A22" s="105"/>
      <c r="B22" s="137"/>
      <c r="D22" s="105"/>
      <c r="E22" s="114"/>
      <c r="G22" s="95"/>
      <c r="H22" s="96"/>
      <c r="I22" s="96"/>
    </row>
    <row r="23" spans="1:9" ht="40.5" customHeight="1" thickBot="1">
      <c r="A23" s="150" t="s">
        <v>81</v>
      </c>
      <c r="B23" s="150"/>
      <c r="C23" s="106"/>
      <c r="D23" s="150" t="s">
        <v>80</v>
      </c>
      <c r="E23" s="150"/>
      <c r="G23" s="73"/>
      <c r="H23" s="71"/>
      <c r="I23" s="71"/>
    </row>
    <row r="24" spans="1:9" ht="30" customHeight="1" thickBot="1">
      <c r="A24" s="97"/>
      <c r="B24" s="137"/>
      <c r="D24" s="81" t="str">
        <f>IF(AND(B4&lt;E17,B4/100&gt;E19),"Если максимальный расход газа,  принять равным (норм куб.)"," ")</f>
        <v> </v>
      </c>
      <c r="E24" s="115" t="str">
        <f>IF(AND(B4&lt;E17,B4/100&gt;E19),$B$4," ")</f>
        <v> </v>
      </c>
      <c r="G24" s="73"/>
      <c r="H24" s="71"/>
      <c r="I24" s="71"/>
    </row>
    <row r="25" spans="1:9" ht="39.75" customHeight="1" thickBot="1">
      <c r="A25" s="157" t="s">
        <v>15</v>
      </c>
      <c r="B25" s="158"/>
      <c r="D25" s="100" t="str">
        <f>IF(AND(B4&lt;E17,B4/100&gt;E19),"То, минимальный расход газа, который может быть измерен GFG F, (норм куб.)"," ")</f>
        <v> </v>
      </c>
      <c r="E25" s="116" t="str">
        <f>IF(AND(B4&lt;E17,B4/100&gt;E19),$B$4/100," ")</f>
        <v> </v>
      </c>
      <c r="G25" s="73"/>
      <c r="H25" s="71"/>
      <c r="I25" s="71"/>
    </row>
    <row r="26" spans="1:9" ht="6" customHeight="1" thickBot="1">
      <c r="A26" s="98"/>
      <c r="B26" s="138"/>
      <c r="D26" s="83"/>
      <c r="E26" s="117"/>
      <c r="G26" s="73"/>
      <c r="H26" s="71"/>
      <c r="I26" s="71"/>
    </row>
    <row r="27" spans="1:9" ht="27" customHeight="1">
      <c r="A27" s="101" t="s">
        <v>16</v>
      </c>
      <c r="B27" s="139">
        <v>20</v>
      </c>
      <c r="D27" s="84" t="str">
        <f>IF(AND(B5&gt;E19,B5*100&lt;E17),"Если минимальный расход газа, принять равным (норм куб.)"," ")</f>
        <v> </v>
      </c>
      <c r="E27" s="118" t="str">
        <f>IF(AND(B5&gt;E19,B5*100&lt;E17),B5," ")</f>
        <v> </v>
      </c>
      <c r="F27" s="73"/>
      <c r="G27" s="99"/>
      <c r="H27" s="71"/>
      <c r="I27" s="71"/>
    </row>
    <row r="28" spans="1:9" ht="37.5" customHeight="1" thickBot="1">
      <c r="A28" s="102" t="s">
        <v>17</v>
      </c>
      <c r="B28" s="136">
        <v>5</v>
      </c>
      <c r="D28" s="69" t="str">
        <f>IF(AND(B5&gt;E19,B5*100&lt;E17),"То максимальный расход газа, который может быть измерен GFG F, (норм куб.)"," ")</f>
        <v> </v>
      </c>
      <c r="E28" s="119" t="str">
        <f>IF(AND(B5&gt;E19,B5*100&lt;E17),B5*100," ")</f>
        <v> </v>
      </c>
      <c r="F28" s="73"/>
      <c r="G28" s="99"/>
      <c r="H28" s="71"/>
      <c r="I28" s="71"/>
    </row>
    <row r="29" spans="1:9" ht="14.25" customHeight="1" thickBot="1">
      <c r="A29" s="97"/>
      <c r="B29" s="137"/>
      <c r="H29" s="103" t="str">
        <f>VLOOKUP(IF(IF('Подбор прибора'!B17&gt;'Подбор прибора'!B10,1,0)+IF('Подбор прибора'!B19&lt;'Подбор прибора'!B5,1,0)=2,7,IF(IF('Подбор прибора'!B17&gt;'Подбор прибора'!B10,1,0)=0,3,IF(IF('Подбор прибора'!B19&lt;'Подбор прибора'!B11,1,0)=0,2,0))),Лист2!A:B,2,FALSE)&amp;"                             "&amp;VLOOKUP(IF('Подбор прибора'!B27+'Подбор прибора'!B28-1&lt;'Подбор прибора'!B13+'Подбор прибора'!B14,10,11),Лист2!A:B,2,FALSE)</f>
        <v>Данный минимальный расход нашим прибором TFG не может быть учтен, рекомендуем уменьшить диаметр трубопровода. Интересно, а чем еще вы сможете поймать такой же диапазон измерений?                             Длинна прямых участков НЕ достаточна. Рекомендуем изыскать любой прямой участок на расстоянии 300 метров. Или применить GFG F.</v>
      </c>
      <c r="I29" s="103"/>
    </row>
    <row r="30" spans="1:5" ht="137.25" customHeight="1" thickBot="1">
      <c r="A30" s="153" t="str">
        <f>VLOOKUP(IF(E11&lt;380,7,4),Лист2!A:B,2,FALSE)&amp;"  "&amp;VLOOKUP(IF(B4&lt;B17,1,3),Лист2!A:B,2,FALSE)&amp;"  "&amp;VLOOKUP(IF(B5&gt;B19,5,6),Лист2!A:B,2,FALSE)&amp;"  "&amp;VLOOKUP(IF((B6+B7)/(B3*0.001)&lt;25,50,51),Лист2!A:B,2,FALSE)</f>
        <v>Заданый диапазон измерений не может быть обеспечен TFG.  Заданый  максимальный расход газа попадает в допустимый расходомером TFG диапазон.  Заданый минимальный расход газа не может быть учтен расходомерным комплексом TFG, при данном давлении и для данного диаметра трубопровода.  Длинны прямого участка НЕ достаточно для установки расходомера.</v>
      </c>
      <c r="B30" s="154"/>
      <c r="C30" s="121"/>
      <c r="D30" s="151" t="str">
        <f>VLOOKUP(IF(E11&gt;100,40,41),Лист2!A:B,2,FALSE)&amp;"  "&amp;VLOOKUP(IF(E17&gt;B4,43,44),Лист2!A:B,2,FALSE)&amp;"  "&amp;VLOOKUP(IF(E19&lt;B5,45,47),Лист2!A:B,2,FALSE)&amp;"  Прямые участки для установки расходомера НЕтребуются"</f>
        <v>Требуемый Вам диапазон измерений не может быть достигнут на GFG F без сменных диафрагм.  Заданый  максимальный расход газа попадает в допустимый расходомером GFG F диапазон.  Заданый минимальный расход газа не может быть учтен расходомерным комплексом GFG F, при данном давлении и для данного диаметра трубопровода.   Прямые участки для установки расходомера НЕтребуются</v>
      </c>
      <c r="E30" s="152"/>
    </row>
    <row r="31" spans="1:5" ht="33" customHeight="1">
      <c r="A31" s="70"/>
      <c r="D31" s="104"/>
      <c r="E31" s="120"/>
    </row>
    <row r="32" spans="4:5" ht="33" customHeight="1">
      <c r="D32" s="104"/>
      <c r="E32" s="120"/>
    </row>
    <row r="33" spans="4:5" ht="33" customHeight="1">
      <c r="D33" s="104"/>
      <c r="E33" s="120"/>
    </row>
    <row r="34" spans="4:5" ht="33" customHeight="1">
      <c r="D34" s="104"/>
      <c r="E34" s="120"/>
    </row>
    <row r="35" ht="33" customHeight="1"/>
    <row r="36" ht="33" customHeight="1"/>
    <row r="37" ht="33" customHeight="1"/>
    <row r="38" ht="33" customHeight="1"/>
    <row r="39" ht="33" customHeight="1"/>
  </sheetData>
  <mergeCells count="17">
    <mergeCell ref="A1:B1"/>
    <mergeCell ref="A16:B16"/>
    <mergeCell ref="A9:E9"/>
    <mergeCell ref="A8:E8"/>
    <mergeCell ref="D2:E2"/>
    <mergeCell ref="D3:E3"/>
    <mergeCell ref="D4:E4"/>
    <mergeCell ref="D5:E5"/>
    <mergeCell ref="D6:E6"/>
    <mergeCell ref="D7:E7"/>
    <mergeCell ref="D16:E16"/>
    <mergeCell ref="D23:E23"/>
    <mergeCell ref="D30:E30"/>
    <mergeCell ref="A30:B30"/>
    <mergeCell ref="A23:B23"/>
    <mergeCell ref="A21:E21"/>
    <mergeCell ref="A25:B25"/>
  </mergeCells>
  <printOptions/>
  <pageMargins left="0.25" right="0.26" top="0.3" bottom="0.31" header="0.25" footer="0.2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U25"/>
  <sheetViews>
    <sheetView workbookViewId="0" topLeftCell="A10">
      <selection activeCell="N7" sqref="N7"/>
    </sheetView>
  </sheetViews>
  <sheetFormatPr defaultColWidth="9.00390625" defaultRowHeight="12.75"/>
  <cols>
    <col min="1" max="1" width="23.875" style="1" customWidth="1"/>
    <col min="2" max="2" width="10.875" style="1" customWidth="1"/>
    <col min="3" max="3" width="14.875" style="1" customWidth="1"/>
    <col min="4" max="4" width="9.125" style="1" customWidth="1"/>
    <col min="6" max="7" width="1.00390625" style="4" hidden="1" customWidth="1"/>
    <col min="8" max="8" width="1.00390625" style="5" hidden="1" customWidth="1"/>
    <col min="9" max="10" width="1.00390625" style="0" hidden="1" customWidth="1"/>
    <col min="11" max="11" width="21.125" style="16" customWidth="1"/>
    <col min="12" max="12" width="6.875" style="16" customWidth="1"/>
    <col min="13" max="13" width="14.25390625" style="16" hidden="1" customWidth="1"/>
    <col min="14" max="14" width="14.25390625" style="16" customWidth="1"/>
    <col min="15" max="17" width="14.25390625" style="17" customWidth="1"/>
    <col min="18" max="19" width="18.875" style="0" customWidth="1"/>
  </cols>
  <sheetData>
    <row r="4" spans="1:17" s="13" customFormat="1" ht="50.25" customHeight="1" thickBot="1">
      <c r="A4" s="1" t="s">
        <v>56</v>
      </c>
      <c r="B4" s="1" t="s">
        <v>57</v>
      </c>
      <c r="C4" s="1" t="s">
        <v>58</v>
      </c>
      <c r="D4" s="1" t="s">
        <v>59</v>
      </c>
      <c r="E4" s="1" t="s">
        <v>60</v>
      </c>
      <c r="F4" s="61" t="s">
        <v>55</v>
      </c>
      <c r="G4" s="62" t="s">
        <v>61</v>
      </c>
      <c r="H4" s="62" t="s">
        <v>62</v>
      </c>
      <c r="K4" s="59" t="s">
        <v>10</v>
      </c>
      <c r="L4" s="60"/>
      <c r="M4" s="60"/>
      <c r="N4" s="60"/>
      <c r="O4" s="24"/>
      <c r="P4" s="24"/>
      <c r="Q4" s="24"/>
    </row>
    <row r="5" spans="1:5" ht="26.25" thickBot="1">
      <c r="A5" s="55" t="s">
        <v>0</v>
      </c>
      <c r="B5" s="2">
        <f>'Форма ввода'!B8*0.101325</f>
        <v>0.303975</v>
      </c>
      <c r="C5" s="25" t="s">
        <v>2</v>
      </c>
      <c r="D5" s="56">
        <f>B5+0.101325</f>
        <v>0.4053</v>
      </c>
      <c r="E5" s="3">
        <f>(D5/0.101325)</f>
        <v>4</v>
      </c>
    </row>
    <row r="6" spans="1:19" ht="75.75" customHeight="1" thickBot="1">
      <c r="A6" s="52" t="s">
        <v>1</v>
      </c>
      <c r="B6" s="2">
        <f>'Форма ввода'!B9</f>
        <v>100</v>
      </c>
      <c r="C6" s="53"/>
      <c r="D6" s="54"/>
      <c r="F6" s="7" t="s">
        <v>14</v>
      </c>
      <c r="G6" s="8"/>
      <c r="H6" s="10">
        <f>B6</f>
        <v>100</v>
      </c>
      <c r="I6" s="5"/>
      <c r="J6" s="5"/>
      <c r="K6" s="18" t="s">
        <v>14</v>
      </c>
      <c r="L6" s="43">
        <f>B6</f>
        <v>100</v>
      </c>
      <c r="M6" s="42" t="str">
        <f>IF(M9=" "," ","Режим без смены диафрагм. С диапазоном измерений  1:"&amp;M9&amp;".")</f>
        <v> </v>
      </c>
      <c r="N6" s="18" t="str">
        <f>IF($B$9&gt;100,"Зимный режим.  Диапазон 1:100 "," ")</f>
        <v>Зимный режим.  Диапазон 1:100 </v>
      </c>
      <c r="O6" s="20" t="str">
        <f>IF($B$9&gt;100,"Летний Режим.  Диапазон 1:100"," ")</f>
        <v>Летний Режим.  Диапазон 1:100</v>
      </c>
      <c r="P6" s="39" t="str">
        <f>IF($B$9&gt;180,"Зимный режим.  Диапазон 1:180"," ")</f>
        <v>Зимный режим.  Диапазон 1:180</v>
      </c>
      <c r="Q6" s="40" t="str">
        <f>IF($B$9&gt;180,"Летний Режим.  Диапазон 1:180"," ")</f>
        <v>Летний Режим.  Диапазон 1:180</v>
      </c>
      <c r="R6" s="26"/>
      <c r="S6" s="26"/>
    </row>
    <row r="7" spans="1:21" ht="54" customHeight="1" thickBot="1">
      <c r="A7" s="44" t="s">
        <v>4</v>
      </c>
      <c r="B7" s="2">
        <f>'Форма ввода'!B10</f>
        <v>1000</v>
      </c>
      <c r="C7" s="48" t="s">
        <v>5</v>
      </c>
      <c r="D7" s="50">
        <f>B7/(D5/0.101325)</f>
        <v>250</v>
      </c>
      <c r="F7" s="171" t="s">
        <v>39</v>
      </c>
      <c r="G7" s="12" t="s">
        <v>12</v>
      </c>
      <c r="H7" s="9">
        <f>0.1611637*(B6*B6)*E5</f>
        <v>6446.548</v>
      </c>
      <c r="K7" s="144" t="s">
        <v>38</v>
      </c>
      <c r="L7" s="18" t="s">
        <v>12</v>
      </c>
      <c r="M7" s="58" t="e">
        <f>M8*M9</f>
        <v>#VALUE!</v>
      </c>
      <c r="N7" s="35">
        <f>IF($B$9&gt;100,IF(CEILING(D7,10)&gt;VLOOKUP($L$6,Лист3!$A:$F,6,FALSE),VLOOKUP($L$6,Лист3!$A:$F,6,FALSE),CEILING(D7,10))," ")</f>
        <v>250</v>
      </c>
      <c r="O7" s="36">
        <f>IF($B$9&gt;100,O8*O9," ")</f>
        <v>150</v>
      </c>
      <c r="P7" s="39">
        <f>IF($B$9&gt;180,N7," ")</f>
        <v>250</v>
      </c>
      <c r="Q7" s="40">
        <f>IF($B$9&gt;180,IF(N7&gt;IF($B$9&gt;100,O8*Q9," "),IF($B$9&gt;100,O8*Q9," "),N7)," ")</f>
        <v>250</v>
      </c>
      <c r="T7" s="26"/>
      <c r="U7" s="26"/>
    </row>
    <row r="8" spans="1:21" ht="54" customHeight="1" thickBot="1">
      <c r="A8" s="44" t="s">
        <v>3</v>
      </c>
      <c r="B8" s="2">
        <f>'Форма ввода'!B11</f>
        <v>4</v>
      </c>
      <c r="C8" s="48" t="s">
        <v>6</v>
      </c>
      <c r="D8" s="50">
        <f>B8/(D5/0.101325)</f>
        <v>1</v>
      </c>
      <c r="F8" s="172"/>
      <c r="G8" s="11" t="s">
        <v>11</v>
      </c>
      <c r="H8" s="6">
        <f>0.000424115*(B6*B6)*E5</f>
        <v>16.964599999999997</v>
      </c>
      <c r="K8" s="145"/>
      <c r="L8" s="21" t="s">
        <v>11</v>
      </c>
      <c r="M8" s="58">
        <f>FLOOR(D8,1)</f>
        <v>1</v>
      </c>
      <c r="N8" s="35">
        <f>IF($B$9&gt;100,N7/N9," ")</f>
        <v>2.5</v>
      </c>
      <c r="O8" s="36">
        <f>IF($B$9&gt;100,IF(CEILING(D8,1)&gt;VLOOKUP($L$6,Лист3!$A:$F,2,FALSE),CEILING(D8,1),VLOOKUP($L$6,Лист3!$A:$F,2,FALSE))," ")</f>
        <v>1.5</v>
      </c>
      <c r="P8" s="39">
        <f>IF($B$9&gt;180,IF($B$9&gt;100,CEILING(P7/P9,1)," ")," ")</f>
        <v>2</v>
      </c>
      <c r="Q8" s="40">
        <f>IF($B$9&gt;180,O8," ")</f>
        <v>1.5</v>
      </c>
      <c r="U8" s="26"/>
    </row>
    <row r="9" spans="1:17" ht="332.25" thickBot="1">
      <c r="A9" s="44" t="s">
        <v>20</v>
      </c>
      <c r="B9" s="47">
        <f>B7/B8</f>
        <v>250</v>
      </c>
      <c r="C9" s="48"/>
      <c r="D9" s="47"/>
      <c r="F9" s="7" t="s">
        <v>13</v>
      </c>
      <c r="G9" s="8"/>
      <c r="H9" s="9">
        <f>H7/H8</f>
        <v>380.00000000000006</v>
      </c>
      <c r="K9" s="18" t="s">
        <v>13</v>
      </c>
      <c r="L9" s="19"/>
      <c r="M9" s="41" t="str">
        <f>IF(B9&lt;100,100,IF(AND(B9&gt;100-1,B9&lt;180+1),180," "))</f>
        <v> </v>
      </c>
      <c r="N9" s="37">
        <f>IF($B$9&gt;100,100," ")</f>
        <v>100</v>
      </c>
      <c r="O9" s="38">
        <f>IF($B$9&gt;100,100," ")</f>
        <v>100</v>
      </c>
      <c r="P9" s="38">
        <f>IF($B$9&gt;180,180," ")</f>
        <v>180</v>
      </c>
      <c r="Q9" s="38">
        <f>IF($B$9&gt;180,180," ")</f>
        <v>180</v>
      </c>
    </row>
    <row r="10" spans="1:17" ht="192" thickBot="1">
      <c r="A10" s="44" t="s">
        <v>7</v>
      </c>
      <c r="B10" s="46">
        <f>'Форма ввода'!B12</f>
        <v>0.5</v>
      </c>
      <c r="C10" s="48" t="s">
        <v>9</v>
      </c>
      <c r="D10" s="50">
        <v>15</v>
      </c>
      <c r="F10" s="173" t="s">
        <v>15</v>
      </c>
      <c r="G10" s="12" t="s">
        <v>16</v>
      </c>
      <c r="H10" s="9">
        <v>20</v>
      </c>
      <c r="K10" s="169" t="s">
        <v>15</v>
      </c>
      <c r="L10" s="18" t="s">
        <v>16</v>
      </c>
      <c r="M10" s="175">
        <v>2</v>
      </c>
      <c r="N10" s="176"/>
      <c r="O10" s="177"/>
      <c r="P10" s="34"/>
      <c r="Q10" s="34"/>
    </row>
    <row r="11" spans="1:17" ht="230.25" thickBot="1">
      <c r="A11" s="45" t="s">
        <v>8</v>
      </c>
      <c r="B11" s="46">
        <f>'Форма ввода'!B13</f>
        <v>0.2</v>
      </c>
      <c r="C11" s="49" t="s">
        <v>9</v>
      </c>
      <c r="D11" s="51">
        <v>10</v>
      </c>
      <c r="F11" s="174"/>
      <c r="G11" s="11" t="s">
        <v>17</v>
      </c>
      <c r="H11" s="6">
        <v>5</v>
      </c>
      <c r="K11" s="170"/>
      <c r="L11" s="21" t="s">
        <v>17</v>
      </c>
      <c r="M11" s="175">
        <v>1</v>
      </c>
      <c r="N11" s="176"/>
      <c r="O11" s="177"/>
      <c r="P11" s="34"/>
      <c r="Q11" s="34"/>
    </row>
    <row r="12" ht="12.75">
      <c r="M12" s="16">
        <f>IF(B9&lt;100,100,IF(AND(B9&gt;100-1,B9&lt;180+1),180,181))</f>
        <v>181</v>
      </c>
    </row>
    <row r="13" spans="6:11" ht="77.25" thickBot="1">
      <c r="F13" s="57" t="s">
        <v>22</v>
      </c>
      <c r="K13" s="22" t="s">
        <v>22</v>
      </c>
    </row>
    <row r="14" spans="6:17" ht="60.75" customHeight="1" thickBot="1">
      <c r="F14" s="179" t="str">
        <f>VLOOKUP(IF(IF('Подбор прибора'!B17&gt;'Подбор прибора'!B10,1,0)+IF('Подбор прибора'!B19&lt;'Подбор прибора'!B5,1,0)=2,7,IF(IF('Подбор прибора'!B17&gt;'Подбор прибора'!B10,1,0)=0,3,IF(IF('Подбор прибора'!B19&lt;'Подбор прибора'!B11,1,0)=0,2,0))),Лист2!A:B,2,FALSE)&amp;"  "&amp;VLOOKUP(IF('Подбор прибора'!B27+'Подбор прибора'!B28-1&lt;'Подбор прибора'!B13+'Подбор прибора'!B14,10,11),Лист2!A:B,2,FALSE)</f>
        <v>Данный минимальный расход нашим прибором TFG не может быть учтен, рекомендуем уменьшить диаметр трубопровода. Интересно, а чем еще вы сможете поймать такой же диапазон измерений?  Длинна прямых участков НЕ достаточна. Рекомендуем изыскать любой прямой участок на расстоянии 300 метров. Или применить GFG F.</v>
      </c>
      <c r="G14" s="180"/>
      <c r="H14" s="181"/>
      <c r="K14" s="178" t="e">
        <f>VLOOKUP(L16,Лист2!A:B,2,FALSE)&amp;"  "&amp;VLOOKUP(L21,Лист2!A:B,2,FALSE)</f>
        <v>#N/A</v>
      </c>
      <c r="L14" s="178"/>
      <c r="M14" s="178"/>
      <c r="N14" s="178"/>
      <c r="O14" s="165"/>
      <c r="P14" s="165"/>
      <c r="Q14" s="165"/>
    </row>
    <row r="16" spans="12:19" ht="21.75" customHeight="1">
      <c r="L16" s="16">
        <f>IF(D7&gt;VLOOKUP(L6,Лист3!A:G,6,FALSE),21,IF(B9-1&lt;100,16,IF(B9&lt;180,19,20)))</f>
        <v>20</v>
      </c>
      <c r="O16" s="13"/>
      <c r="P16" s="13"/>
      <c r="Q16" s="13"/>
      <c r="R16" s="13"/>
      <c r="S16" s="13"/>
    </row>
    <row r="17" spans="15:19" ht="21.75" customHeight="1">
      <c r="O17" s="13"/>
      <c r="P17" s="13" t="s">
        <v>42</v>
      </c>
      <c r="Q17" s="13" t="s">
        <v>43</v>
      </c>
      <c r="R17" s="13"/>
      <c r="S17" s="13"/>
    </row>
    <row r="18" spans="13:19" ht="21.75" customHeight="1">
      <c r="M18" s="16">
        <f>VLOOKUP($L$6,Лист3!A:G,6,FALSE)</f>
        <v>1500</v>
      </c>
      <c r="N18" s="16">
        <f>IF(D7&lt;M18,3,0)</f>
        <v>3</v>
      </c>
      <c r="O18" s="13"/>
      <c r="P18" s="13">
        <v>5</v>
      </c>
      <c r="Q18" s="13"/>
      <c r="R18" s="13"/>
      <c r="S18" s="13"/>
    </row>
    <row r="19" spans="13:19" ht="21.75" customHeight="1">
      <c r="M19" s="16">
        <f>VLOOKUP($L$6,Лист3!A:G,2,FALSE)</f>
        <v>1.5</v>
      </c>
      <c r="N19" s="16">
        <f>IF(D8&gt;M19,2,0)</f>
        <v>0</v>
      </c>
      <c r="O19" s="13"/>
      <c r="P19" s="13"/>
      <c r="Q19" s="13"/>
      <c r="R19" s="13"/>
      <c r="S19" s="13"/>
    </row>
    <row r="20" ht="12.75">
      <c r="K20" s="16" t="s">
        <v>23</v>
      </c>
    </row>
    <row r="21" spans="11:12" ht="12.75">
      <c r="K21" s="16" t="s">
        <v>24</v>
      </c>
      <c r="L21" s="16">
        <f>IF(M10+M11-1&lt;D10+D11,14,15)</f>
        <v>14</v>
      </c>
    </row>
    <row r="23" ht="12.75">
      <c r="L23" s="16">
        <f>IF(B9&lt;180,19,20)</f>
        <v>20</v>
      </c>
    </row>
    <row r="25" spans="6:11" ht="12.75">
      <c r="F25"/>
      <c r="K25" s="23"/>
    </row>
  </sheetData>
  <mergeCells count="8">
    <mergeCell ref="M10:O10"/>
    <mergeCell ref="M11:O11"/>
    <mergeCell ref="K14:Q14"/>
    <mergeCell ref="F14:H14"/>
    <mergeCell ref="K7:K8"/>
    <mergeCell ref="K10:K11"/>
    <mergeCell ref="F7:F8"/>
    <mergeCell ref="F10:F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9">
      <selection activeCell="B29" sqref="B29"/>
    </sheetView>
  </sheetViews>
  <sheetFormatPr defaultColWidth="9.00390625" defaultRowHeight="12.75"/>
  <cols>
    <col min="1" max="1" width="19.375" style="66" customWidth="1"/>
    <col min="2" max="2" width="88.75390625" style="67" customWidth="1"/>
    <col min="3" max="16384" width="9.125" style="66" customWidth="1"/>
  </cols>
  <sheetData>
    <row r="1" spans="1:2" ht="12.75">
      <c r="A1" s="64" t="s">
        <v>18</v>
      </c>
      <c r="B1" s="65" t="s">
        <v>19</v>
      </c>
    </row>
    <row r="2" spans="1:2" ht="12.75">
      <c r="A2" s="14">
        <v>7</v>
      </c>
      <c r="B2" s="65" t="s">
        <v>74</v>
      </c>
    </row>
    <row r="3" spans="1:2" ht="77.25" customHeight="1">
      <c r="A3" s="14">
        <v>4</v>
      </c>
      <c r="B3" s="65" t="s">
        <v>78</v>
      </c>
    </row>
    <row r="4" spans="1:2" ht="25.5">
      <c r="A4" s="14">
        <v>3</v>
      </c>
      <c r="B4" s="15" t="s">
        <v>27</v>
      </c>
    </row>
    <row r="5" spans="1:2" ht="25.5">
      <c r="A5" s="14">
        <v>5</v>
      </c>
      <c r="B5" s="65" t="s">
        <v>77</v>
      </c>
    </row>
    <row r="6" spans="1:2" ht="25.5">
      <c r="A6" s="14">
        <v>6</v>
      </c>
      <c r="B6" s="65" t="s">
        <v>76</v>
      </c>
    </row>
    <row r="7" spans="1:2" ht="38.25">
      <c r="A7" s="14">
        <v>2</v>
      </c>
      <c r="B7" s="15" t="s">
        <v>65</v>
      </c>
    </row>
    <row r="8" spans="1:2" ht="25.5">
      <c r="A8" s="64">
        <v>1</v>
      </c>
      <c r="B8" s="68" t="s">
        <v>75</v>
      </c>
    </row>
    <row r="9" spans="1:2" ht="12.75">
      <c r="A9" s="64">
        <v>10</v>
      </c>
      <c r="B9" s="65" t="s">
        <v>21</v>
      </c>
    </row>
    <row r="10" spans="1:2" ht="25.5">
      <c r="A10" s="64">
        <v>11</v>
      </c>
      <c r="B10" s="65" t="s">
        <v>28</v>
      </c>
    </row>
    <row r="11" spans="1:2" ht="12.75">
      <c r="A11" s="64"/>
      <c r="B11" s="65"/>
    </row>
    <row r="12" spans="1:2" ht="12.75">
      <c r="A12" s="64">
        <v>14</v>
      </c>
      <c r="B12" s="65" t="s">
        <v>26</v>
      </c>
    </row>
    <row r="13" spans="1:2" ht="12.75">
      <c r="A13" s="64">
        <v>15</v>
      </c>
      <c r="B13" s="65" t="s">
        <v>25</v>
      </c>
    </row>
    <row r="14" spans="1:2" ht="12.75">
      <c r="A14" s="64"/>
      <c r="B14" s="65"/>
    </row>
    <row r="15" spans="1:2" ht="25.5">
      <c r="A15" s="64">
        <v>16</v>
      </c>
      <c r="B15" s="65" t="s">
        <v>37</v>
      </c>
    </row>
    <row r="16" spans="1:2" ht="38.25">
      <c r="A16" s="64">
        <v>17</v>
      </c>
      <c r="B16" s="65" t="s">
        <v>29</v>
      </c>
    </row>
    <row r="17" spans="1:2" ht="25.5">
      <c r="A17" s="64">
        <v>19</v>
      </c>
      <c r="B17" s="65" t="s">
        <v>41</v>
      </c>
    </row>
    <row r="18" spans="1:2" ht="25.5">
      <c r="A18" s="64">
        <v>21</v>
      </c>
      <c r="B18" s="15" t="s">
        <v>40</v>
      </c>
    </row>
    <row r="19" spans="1:2" ht="25.5">
      <c r="A19" s="64">
        <v>30</v>
      </c>
      <c r="B19" s="65" t="s">
        <v>66</v>
      </c>
    </row>
    <row r="20" spans="1:2" ht="12.75">
      <c r="A20" s="64">
        <v>41</v>
      </c>
      <c r="B20" s="65" t="s">
        <v>69</v>
      </c>
    </row>
    <row r="21" spans="1:2" ht="25.5">
      <c r="A21" s="64">
        <v>40</v>
      </c>
      <c r="B21" s="65" t="s">
        <v>68</v>
      </c>
    </row>
    <row r="22" spans="1:2" ht="25.5">
      <c r="A22" s="64">
        <v>44</v>
      </c>
      <c r="B22" s="65" t="s">
        <v>70</v>
      </c>
    </row>
    <row r="23" spans="1:2" ht="25.5">
      <c r="A23" s="64">
        <v>43</v>
      </c>
      <c r="B23" s="65" t="s">
        <v>72</v>
      </c>
    </row>
    <row r="24" spans="1:2" ht="25.5">
      <c r="A24" s="64">
        <v>47</v>
      </c>
      <c r="B24" s="65" t="s">
        <v>71</v>
      </c>
    </row>
    <row r="25" spans="1:2" ht="25.5">
      <c r="A25" s="64">
        <v>45</v>
      </c>
      <c r="B25" s="65" t="s">
        <v>73</v>
      </c>
    </row>
    <row r="27" spans="1:2" ht="12.75">
      <c r="A27" s="66">
        <v>51</v>
      </c>
      <c r="B27" s="67" t="s">
        <v>82</v>
      </c>
    </row>
    <row r="28" spans="1:2" ht="12.75">
      <c r="A28" s="66">
        <v>50</v>
      </c>
      <c r="B28" s="67" t="s">
        <v>83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4" sqref="A14:IV14"/>
    </sheetView>
  </sheetViews>
  <sheetFormatPr defaultColWidth="9.00390625" defaultRowHeight="12.75"/>
  <cols>
    <col min="1" max="1" width="42.00390625" style="28" customWidth="1"/>
    <col min="2" max="3" width="9.75390625" style="29" customWidth="1"/>
    <col min="4" max="6" width="9.125" style="29" customWidth="1"/>
    <col min="7" max="16384" width="9.125" style="30" customWidth="1"/>
  </cols>
  <sheetData>
    <row r="1" spans="1:6" ht="12.75">
      <c r="A1" s="28">
        <v>1</v>
      </c>
      <c r="B1" s="29">
        <v>2</v>
      </c>
      <c r="C1" s="29">
        <v>3</v>
      </c>
      <c r="D1" s="29">
        <v>4</v>
      </c>
      <c r="E1" s="29">
        <v>5</v>
      </c>
      <c r="F1" s="29">
        <v>6</v>
      </c>
    </row>
    <row r="3" ht="12.75">
      <c r="A3" s="182" t="s">
        <v>30</v>
      </c>
    </row>
    <row r="4" spans="1:7" ht="15">
      <c r="A4" s="182"/>
      <c r="B4" s="32" t="s">
        <v>31</v>
      </c>
      <c r="C4" s="32" t="s">
        <v>32</v>
      </c>
      <c r="D4" s="32" t="s">
        <v>35</v>
      </c>
      <c r="E4" s="32" t="s">
        <v>33</v>
      </c>
      <c r="F4" s="32" t="s">
        <v>34</v>
      </c>
      <c r="G4" s="32" t="s">
        <v>36</v>
      </c>
    </row>
    <row r="5" ht="14.25">
      <c r="A5" s="33">
        <v>2</v>
      </c>
    </row>
    <row r="6" spans="1:7" ht="14.25">
      <c r="A6" s="31">
        <v>10</v>
      </c>
      <c r="B6" s="29">
        <v>0.02</v>
      </c>
      <c r="C6" s="29">
        <v>0.15</v>
      </c>
      <c r="E6" s="29">
        <v>2</v>
      </c>
      <c r="F6" s="29">
        <v>15</v>
      </c>
      <c r="G6" s="30">
        <v>15</v>
      </c>
    </row>
    <row r="7" spans="1:7" ht="14.25">
      <c r="A7" s="31">
        <v>15</v>
      </c>
      <c r="B7" s="29">
        <v>0.03</v>
      </c>
      <c r="C7" s="29">
        <v>0.34</v>
      </c>
      <c r="E7" s="29">
        <v>3</v>
      </c>
      <c r="F7" s="29">
        <v>33.8</v>
      </c>
      <c r="G7" s="30">
        <v>33.8</v>
      </c>
    </row>
    <row r="8" spans="1:7" ht="14.25">
      <c r="A8" s="31">
        <v>20</v>
      </c>
      <c r="B8" s="29">
        <v>0.06</v>
      </c>
      <c r="C8" s="29">
        <v>0.6</v>
      </c>
      <c r="E8" s="29">
        <v>6</v>
      </c>
      <c r="F8" s="29">
        <v>60</v>
      </c>
      <c r="G8" s="30">
        <v>60</v>
      </c>
    </row>
    <row r="9" spans="1:7" ht="14.25">
      <c r="A9" s="31">
        <v>25</v>
      </c>
      <c r="B9" s="29">
        <v>0.09</v>
      </c>
      <c r="C9" s="29">
        <v>0.94</v>
      </c>
      <c r="E9" s="29">
        <v>9</v>
      </c>
      <c r="F9" s="29">
        <v>93.8</v>
      </c>
      <c r="G9" s="30">
        <v>93.8</v>
      </c>
    </row>
    <row r="10" spans="1:7" ht="14.25">
      <c r="A10" s="31">
        <v>32</v>
      </c>
      <c r="B10" s="29">
        <v>0.15</v>
      </c>
      <c r="C10" s="29">
        <v>1.54</v>
      </c>
      <c r="E10" s="29">
        <v>15</v>
      </c>
      <c r="F10" s="29">
        <v>153.6</v>
      </c>
      <c r="G10" s="30">
        <v>153.6</v>
      </c>
    </row>
    <row r="11" spans="1:7" ht="14.25">
      <c r="A11" s="31">
        <v>40</v>
      </c>
      <c r="B11" s="29">
        <v>0.24</v>
      </c>
      <c r="C11" s="29">
        <v>2.4</v>
      </c>
      <c r="E11" s="29">
        <v>24</v>
      </c>
      <c r="F11" s="29">
        <v>240</v>
      </c>
      <c r="G11" s="30">
        <v>240</v>
      </c>
    </row>
    <row r="12" spans="1:7" ht="14.25">
      <c r="A12" s="31">
        <v>50</v>
      </c>
      <c r="B12" s="29">
        <v>0.38</v>
      </c>
      <c r="C12" s="29">
        <v>3.75</v>
      </c>
      <c r="E12" s="29">
        <v>37.5</v>
      </c>
      <c r="F12" s="29">
        <v>375</v>
      </c>
      <c r="G12" s="30">
        <v>375</v>
      </c>
    </row>
    <row r="13" spans="1:7" ht="14.25">
      <c r="A13" s="31">
        <v>80</v>
      </c>
      <c r="B13" s="29">
        <v>0.96</v>
      </c>
      <c r="C13" s="29">
        <v>9.6</v>
      </c>
      <c r="E13" s="29">
        <v>96</v>
      </c>
      <c r="F13" s="29">
        <v>960</v>
      </c>
      <c r="G13" s="30">
        <v>960</v>
      </c>
    </row>
    <row r="14" spans="1:7" ht="14.25">
      <c r="A14" s="31">
        <v>100</v>
      </c>
      <c r="B14" s="29">
        <v>1.5</v>
      </c>
      <c r="C14" s="29">
        <v>15</v>
      </c>
      <c r="E14" s="29">
        <v>150</v>
      </c>
      <c r="F14" s="29">
        <v>1500</v>
      </c>
      <c r="G14" s="30">
        <v>1500</v>
      </c>
    </row>
    <row r="15" spans="1:7" ht="14.25">
      <c r="A15" s="31">
        <v>150</v>
      </c>
      <c r="B15" s="29">
        <v>3.38</v>
      </c>
      <c r="C15" s="29">
        <v>33.75</v>
      </c>
      <c r="E15" s="29">
        <v>337.5</v>
      </c>
      <c r="F15" s="29">
        <v>3375</v>
      </c>
      <c r="G15" s="30">
        <v>3375</v>
      </c>
    </row>
    <row r="16" spans="1:7" ht="14.25">
      <c r="A16" s="31">
        <v>200</v>
      </c>
      <c r="B16" s="29">
        <v>6</v>
      </c>
      <c r="C16" s="29">
        <v>60</v>
      </c>
      <c r="E16" s="29">
        <v>600</v>
      </c>
      <c r="F16" s="29">
        <v>6000</v>
      </c>
      <c r="G16" s="30">
        <v>6000</v>
      </c>
    </row>
    <row r="17" spans="1:7" ht="14.25">
      <c r="A17" s="31">
        <v>250</v>
      </c>
      <c r="B17" s="29">
        <v>9.38</v>
      </c>
      <c r="C17" s="29">
        <v>93.75</v>
      </c>
      <c r="E17" s="29">
        <v>937.5</v>
      </c>
      <c r="F17" s="29">
        <v>9375</v>
      </c>
      <c r="G17" s="30">
        <v>9375</v>
      </c>
    </row>
    <row r="18" spans="1:7" ht="14.25">
      <c r="A18" s="31">
        <v>300</v>
      </c>
      <c r="B18" s="29">
        <v>13.5</v>
      </c>
      <c r="C18" s="29">
        <v>135</v>
      </c>
      <c r="E18" s="29">
        <v>1350</v>
      </c>
      <c r="F18" s="29">
        <v>13500</v>
      </c>
      <c r="G18" s="30">
        <v>13500</v>
      </c>
    </row>
    <row r="19" ht="12.75">
      <c r="A19" s="27"/>
    </row>
  </sheetData>
  <mergeCells count="1">
    <mergeCell ref="A3: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455</cp:lastModifiedBy>
  <cp:lastPrinted>2009-02-02T20:49:47Z</cp:lastPrinted>
  <dcterms:created xsi:type="dcterms:W3CDTF">2009-01-11T17:44:09Z</dcterms:created>
  <dcterms:modified xsi:type="dcterms:W3CDTF">2011-05-03T11:12:26Z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